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</sheets>
  <definedNames>
    <definedName name="_xlnm.Print_Area" localSheetId="0">Лист1!$A$1:$N$38</definedName>
  </definedNames>
  <calcPr calcId="125725"/>
</workbook>
</file>

<file path=xl/calcChain.xml><?xml version="1.0" encoding="utf-8"?>
<calcChain xmlns="http://schemas.openxmlformats.org/spreadsheetml/2006/main">
  <c r="N30" i="1"/>
  <c r="D23"/>
  <c r="N23" s="1"/>
  <c r="D32"/>
  <c r="H32" s="1"/>
  <c r="I32" s="1"/>
  <c r="J32" s="1"/>
  <c r="D31"/>
  <c r="N31" s="1"/>
  <c r="N25"/>
  <c r="N26"/>
  <c r="N24"/>
  <c r="N22"/>
  <c r="N21"/>
  <c r="N20"/>
  <c r="N9"/>
  <c r="N10"/>
  <c r="N11"/>
  <c r="N12"/>
  <c r="N13"/>
  <c r="N14"/>
  <c r="N15"/>
  <c r="N16"/>
  <c r="N17"/>
  <c r="N18"/>
  <c r="N19"/>
  <c r="N8"/>
  <c r="N32"/>
  <c r="K37"/>
  <c r="L37"/>
  <c r="M37"/>
  <c r="K34"/>
  <c r="L34"/>
  <c r="M34"/>
  <c r="K33"/>
  <c r="L33"/>
  <c r="M33"/>
  <c r="K27"/>
  <c r="L27"/>
  <c r="M27"/>
  <c r="D29" i="2"/>
  <c r="C29"/>
  <c r="A5"/>
  <c r="A6"/>
  <c r="A7" s="1"/>
  <c r="A8" s="1"/>
  <c r="A9" s="1"/>
  <c r="A10" s="1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26" s="1"/>
  <c r="A27" s="1"/>
  <c r="A28" s="1"/>
  <c r="H20" i="1"/>
  <c r="I20"/>
  <c r="J20" s="1"/>
  <c r="H21"/>
  <c r="I21" s="1"/>
  <c r="J21" s="1"/>
  <c r="H22"/>
  <c r="L21"/>
  <c r="L22"/>
  <c r="M22"/>
  <c r="L20"/>
  <c r="H36"/>
  <c r="I36" s="1"/>
  <c r="I30"/>
  <c r="J30"/>
  <c r="M21"/>
  <c r="H8"/>
  <c r="I8"/>
  <c r="J8" s="1"/>
  <c r="H9"/>
  <c r="I9"/>
  <c r="J9" s="1"/>
  <c r="H10"/>
  <c r="I10" s="1"/>
  <c r="H11"/>
  <c r="I11"/>
  <c r="J11" s="1"/>
  <c r="H12"/>
  <c r="I12" s="1"/>
  <c r="J12" s="1"/>
  <c r="H13"/>
  <c r="I13"/>
  <c r="J13" s="1"/>
  <c r="H14"/>
  <c r="I14" s="1"/>
  <c r="J14" s="1"/>
  <c r="H15"/>
  <c r="I15"/>
  <c r="J15" s="1"/>
  <c r="H16"/>
  <c r="I16" s="1"/>
  <c r="J16" s="1"/>
  <c r="H17"/>
  <c r="I17"/>
  <c r="J17" s="1"/>
  <c r="H18"/>
  <c r="I18" s="1"/>
  <c r="J18" s="1"/>
  <c r="H19"/>
  <c r="I19"/>
  <c r="J19" s="1"/>
  <c r="H24"/>
  <c r="I24"/>
  <c r="J24" s="1"/>
  <c r="H25"/>
  <c r="I25" s="1"/>
  <c r="J25" s="1"/>
  <c r="H26"/>
  <c r="I26"/>
  <c r="J26" s="1"/>
  <c r="A9"/>
  <c r="A10" s="1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26" s="1"/>
  <c r="C30" i="2"/>
  <c r="I22" i="1"/>
  <c r="J22" s="1"/>
  <c r="H23" l="1"/>
  <c r="I23" s="1"/>
  <c r="J23" s="1"/>
  <c r="H31"/>
  <c r="I31" s="1"/>
  <c r="I33" s="1"/>
  <c r="N27"/>
  <c r="J31"/>
  <c r="J33" s="1"/>
  <c r="N33"/>
  <c r="J10"/>
  <c r="I27"/>
  <c r="J36"/>
  <c r="H27" l="1"/>
  <c r="J27"/>
  <c r="I34"/>
  <c r="G34" s="1"/>
  <c r="G37" s="1"/>
  <c r="J34"/>
  <c r="J37" s="1"/>
  <c r="N34"/>
  <c r="N37" s="1"/>
  <c r="I37" l="1"/>
</calcChain>
</file>

<file path=xl/sharedStrings.xml><?xml version="1.0" encoding="utf-8"?>
<sst xmlns="http://schemas.openxmlformats.org/spreadsheetml/2006/main" count="140" uniqueCount="83">
  <si>
    <t xml:space="preserve"> Площадь МКД</t>
  </si>
  <si>
    <t>Содержание общего имущества и управление МКД</t>
  </si>
  <si>
    <t>№</t>
  </si>
  <si>
    <t>Наименование работы</t>
  </si>
  <si>
    <t>ед.изм.</t>
  </si>
  <si>
    <t>цена (руб.)</t>
  </si>
  <si>
    <t>объем</t>
  </si>
  <si>
    <t>Количество</t>
  </si>
  <si>
    <t>Итого стоимость в руб. в год</t>
  </si>
  <si>
    <t>Итого стоимость в месяц, руб.</t>
  </si>
  <si>
    <t>Гидравлические испытания системы отопления</t>
  </si>
  <si>
    <t>1 метр трубопровода</t>
  </si>
  <si>
    <t>Промывка системы отопления</t>
  </si>
  <si>
    <t>Техническое обслуживание инженерных сетей входящих в состав общего имущества многоквартирных жилых домов</t>
  </si>
  <si>
    <t>1 кв.м.общ.пл.</t>
  </si>
  <si>
    <t>Согласно правилам и нормам обслуживания жилого фонда</t>
  </si>
  <si>
    <t>1 кв.м кровли( ст-ть пересчитана на 1 кв.м. об.пл.)</t>
  </si>
  <si>
    <t>Техническое обслуживание мягкой кровли</t>
  </si>
  <si>
    <t>Техническое обслуживание ГЩВУ (ВРУ)</t>
  </si>
  <si>
    <t>1 ВРУ  ( ст-ть пересчитана на 1 кв.м. об.пл.)</t>
  </si>
  <si>
    <t>Техническое обслуживание системы освещения общего имущества</t>
  </si>
  <si>
    <t>1 кв.м площади вспомогательных помещений ( ст-ть пересчитана на 1 кв.м. об.пл.)</t>
  </si>
  <si>
    <t>1 раз в год</t>
  </si>
  <si>
    <t xml:space="preserve">Техническое обслуживание электрических сетей и их оборудования на лестничных клетках </t>
  </si>
  <si>
    <t>1 кв.м лестничных клеток ( ст-ть пересчитана на 1 кв.м. об.пл.)</t>
  </si>
  <si>
    <t>ежемесячно</t>
  </si>
  <si>
    <t>1 кв.м.общей площади</t>
  </si>
  <si>
    <t>дежурство слесарей, электриков</t>
  </si>
  <si>
    <t>Дератизация, дезинсекция</t>
  </si>
  <si>
    <t>4 раза в год</t>
  </si>
  <si>
    <t>Проверка дымоходов и вентканалов</t>
  </si>
  <si>
    <t xml:space="preserve">1 кв.м.общ.пл. </t>
  </si>
  <si>
    <t>1 кв.м лестничных клеток</t>
  </si>
  <si>
    <t>1 кв.м асфальта</t>
  </si>
  <si>
    <t>1 раз в  2 суток</t>
  </si>
  <si>
    <t>Содержание, техническое обслуживание и ремонт лифтов</t>
  </si>
  <si>
    <t>1 лифт</t>
  </si>
  <si>
    <t>Услуга по управлению</t>
  </si>
  <si>
    <t>Услуги паспортной службы</t>
  </si>
  <si>
    <t>1 кв.м.общ.жил.пл.</t>
  </si>
  <si>
    <t>Услуги по начислению и сбору платежей, работе с неплательщиками</t>
  </si>
  <si>
    <t>Текущий ремонт</t>
  </si>
  <si>
    <t>по графику</t>
  </si>
  <si>
    <t>Осмотр наружных конструкций кирпичного или каменного дома</t>
  </si>
  <si>
    <t>убрать при печати</t>
  </si>
  <si>
    <t>площадь ОИ</t>
  </si>
  <si>
    <t>Стоимость на 1 кв м об.пл.</t>
  </si>
  <si>
    <t>г. Рязань ул. Новаторов д. 19 корп. 2</t>
  </si>
  <si>
    <t>Осмотр технических этажей, чердаков и подвальных помещений</t>
  </si>
  <si>
    <t xml:space="preserve">Осмотр мест общего пользования </t>
  </si>
  <si>
    <t xml:space="preserve">Аварийное обслуживание, непредвиденные работы </t>
  </si>
  <si>
    <t xml:space="preserve">Уборка лестничных площадок и маршей </t>
  </si>
  <si>
    <t xml:space="preserve">Подметание прилегающей территории </t>
  </si>
  <si>
    <t>постоянно</t>
  </si>
  <si>
    <t>Периодичность</t>
  </si>
  <si>
    <t>Итого:</t>
  </si>
  <si>
    <t>КРСОИ</t>
  </si>
  <si>
    <t>Тариф на 1м2/мес. в руб. без КРСОИ</t>
  </si>
  <si>
    <t>3 раза в год-вентканалы в МКД с газовыми приборами, раз в год-в МКД с электроплитами</t>
  </si>
  <si>
    <t>Техническое обслуживание внутридомового газового оборудования</t>
  </si>
  <si>
    <t>Информация об исключении из платы за содержание жилого помещения стоимости услуг по сбору, вывозу, утилизации ТКО</t>
  </si>
  <si>
    <t>многоквартирный дом</t>
  </si>
  <si>
    <t>Структура платы за содержание жилого помещения</t>
  </si>
  <si>
    <t>Размер платы за содержание жилогопомещения до исключения стоимости услуг по сбору, вывозу, утилизации ТКО (руб/м2)</t>
  </si>
  <si>
    <t>Размер платы за содержание жилогопомещения после исключения стоимости услуг по сбору, вывозу, утилизации ТКО (руб/м2)</t>
  </si>
  <si>
    <t>Осмотр мест общего пользования</t>
  </si>
  <si>
    <t>Аварийное обслуживание, непредвиденные работы</t>
  </si>
  <si>
    <t>Дежурство слесарей, электриков</t>
  </si>
  <si>
    <t>Сбор, вывоз и утилизация ТКО</t>
  </si>
  <si>
    <t>Вывоз древесных отходов</t>
  </si>
  <si>
    <t xml:space="preserve">Стоимость утилизации (захоронения) древесных отходов </t>
  </si>
  <si>
    <t>Всего</t>
  </si>
  <si>
    <t>Величина стоимости услуг по сбору, вывозу, утилизации ТКО, которая исключена из платы за содержание жилого помешения</t>
  </si>
  <si>
    <t>ул. Новаторов д. 19 к 2</t>
  </si>
  <si>
    <t>Заместитель директора</t>
  </si>
  <si>
    <t>Сучкова Н.С.</t>
  </si>
  <si>
    <t>Уборка контейнерной площадки, подъездных путей и прилегающей территории</t>
  </si>
  <si>
    <t>Содержание и оборудование контейнерной площадки, подъездных путей и прилегающей территории</t>
  </si>
  <si>
    <t xml:space="preserve">Подметание прилегающей территории, содержание и уборка контейнерных площадок </t>
  </si>
  <si>
    <t xml:space="preserve">Тариф с КРСОИ  </t>
  </si>
  <si>
    <t>Коммунальные ресурсы потребляемые в целях содержания общего имущества в многоквартирном доме (КРСОИ) с 01.07.2025</t>
  </si>
  <si>
    <t>ПРЕДЛОЖЕНИЕ</t>
  </si>
  <si>
    <t>По расчету платы за услуги (работы)  по содержанию,управлению и текущему ремонту  общего имущества многоквартирного дома  на 2026г.  (Перечень и стоимость работ по содержанию, управлению и текущему ремонту общего имущества МКД)</t>
  </si>
</sst>
</file>

<file path=xl/styles.xml><?xml version="1.0" encoding="utf-8"?>
<styleSheet xmlns="http://schemas.openxmlformats.org/spreadsheetml/2006/main">
  <numFmts count="1">
    <numFmt numFmtId="164" formatCode="#,##0.00;[Red]#,##0.00"/>
  </numFmts>
  <fonts count="16">
    <font>
      <sz val="11"/>
      <color theme="1"/>
      <name val="Calibri"/>
      <family val="2"/>
      <scheme val="minor"/>
    </font>
    <font>
      <sz val="12"/>
      <name val="Cambria"/>
      <family val="1"/>
      <charset val="204"/>
    </font>
    <font>
      <b/>
      <sz val="12"/>
      <name val="Cambria"/>
      <family val="1"/>
      <charset val="204"/>
    </font>
    <font>
      <sz val="12"/>
      <name val="Cambria"/>
      <family val="1"/>
      <charset val="204"/>
    </font>
    <font>
      <sz val="13"/>
      <name val="Times New Roman"/>
      <family val="1"/>
      <charset val="204"/>
    </font>
    <font>
      <b/>
      <sz val="12"/>
      <name val="Cambria"/>
      <family val="1"/>
      <charset val="204"/>
    </font>
    <font>
      <sz val="12"/>
      <name val="Times New Roman"/>
      <family val="1"/>
      <charset val="204"/>
    </font>
    <font>
      <sz val="12"/>
      <name val="Cambria"/>
      <family val="1"/>
      <charset val="204"/>
      <scheme val="major"/>
    </font>
    <font>
      <b/>
      <sz val="12"/>
      <name val="Cambria"/>
      <family val="1"/>
      <charset val="204"/>
      <scheme val="major"/>
    </font>
    <font>
      <b/>
      <sz val="12"/>
      <color theme="1"/>
      <name val="Cambria"/>
      <family val="1"/>
      <charset val="204"/>
      <scheme val="major"/>
    </font>
    <font>
      <sz val="12"/>
      <color theme="1"/>
      <name val="Cambria"/>
      <family val="1"/>
      <charset val="204"/>
      <scheme val="major"/>
    </font>
    <font>
      <b/>
      <i/>
      <sz val="12"/>
      <color rgb="FFFF0000"/>
      <name val="Cambria"/>
      <family val="1"/>
      <charset val="204"/>
      <scheme val="major"/>
    </font>
    <font>
      <sz val="12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i/>
      <sz val="12"/>
      <color theme="1"/>
      <name val="Cambria"/>
      <family val="1"/>
      <charset val="204"/>
      <scheme val="major"/>
    </font>
    <font>
      <i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34">
    <xf numFmtId="0" fontId="0" fillId="0" borderId="0" xfId="0"/>
    <xf numFmtId="0" fontId="7" fillId="0" borderId="0" xfId="0" applyFont="1"/>
    <xf numFmtId="0" fontId="8" fillId="0" borderId="0" xfId="0" applyFont="1" applyFill="1" applyAlignment="1">
      <alignment horizontal="right"/>
    </xf>
    <xf numFmtId="0" fontId="7" fillId="0" borderId="0" xfId="0" applyFont="1" applyFill="1" applyAlignment="1">
      <alignment horizontal="left"/>
    </xf>
    <xf numFmtId="0" fontId="7" fillId="2" borderId="0" xfId="0" applyFont="1" applyFill="1"/>
    <xf numFmtId="0" fontId="9" fillId="0" borderId="0" xfId="0" applyFont="1" applyBorder="1" applyAlignment="1">
      <alignment horizontal="center" vertical="center" wrapText="1"/>
    </xf>
    <xf numFmtId="2" fontId="9" fillId="0" borderId="0" xfId="0" applyNumberFormat="1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vertical="center" wrapText="1"/>
    </xf>
    <xf numFmtId="0" fontId="7" fillId="0" borderId="1" xfId="0" applyFont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justify" vertical="center" wrapText="1"/>
    </xf>
    <xf numFmtId="2" fontId="7" fillId="0" borderId="1" xfId="0" applyNumberFormat="1" applyFont="1" applyBorder="1" applyAlignment="1">
      <alignment horizontal="center" vertical="center" wrapText="1"/>
    </xf>
    <xf numFmtId="4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justify" wrapText="1"/>
    </xf>
    <xf numFmtId="0" fontId="7" fillId="0" borderId="1" xfId="0" applyFont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2" fontId="7" fillId="2" borderId="1" xfId="0" applyNumberFormat="1" applyFont="1" applyFill="1" applyBorder="1" applyAlignment="1">
      <alignment horizontal="center" vertical="center"/>
    </xf>
    <xf numFmtId="2" fontId="7" fillId="2" borderId="1" xfId="0" applyNumberFormat="1" applyFont="1" applyFill="1" applyBorder="1" applyAlignment="1">
      <alignment horizontal="center" vertical="center" wrapText="1"/>
    </xf>
    <xf numFmtId="0" fontId="7" fillId="0" borderId="0" xfId="0" applyFont="1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8" fillId="0" borderId="0" xfId="0" applyFont="1" applyBorder="1" applyAlignment="1">
      <alignment horizontal="left"/>
    </xf>
    <xf numFmtId="0" fontId="8" fillId="0" borderId="0" xfId="0" applyFont="1"/>
    <xf numFmtId="0" fontId="8" fillId="0" borderId="0" xfId="0" applyFont="1" applyFill="1" applyBorder="1" applyAlignment="1">
      <alignment horizontal="center"/>
    </xf>
    <xf numFmtId="0" fontId="7" fillId="0" borderId="0" xfId="0" applyFont="1" applyFill="1"/>
    <xf numFmtId="0" fontId="3" fillId="0" borderId="1" xfId="0" applyFont="1" applyBorder="1" applyAlignment="1">
      <alignment horizontal="justify" vertical="center" wrapText="1"/>
    </xf>
    <xf numFmtId="0" fontId="4" fillId="2" borderId="0" xfId="0" applyFont="1" applyFill="1" applyAlignment="1">
      <alignment horizontal="left" wrapText="1"/>
    </xf>
    <xf numFmtId="0" fontId="7" fillId="0" borderId="0" xfId="0" applyFont="1" applyBorder="1" applyAlignment="1">
      <alignment horizontal="center"/>
    </xf>
    <xf numFmtId="4" fontId="7" fillId="0" borderId="0" xfId="0" applyNumberFormat="1" applyFont="1" applyAlignment="1">
      <alignment horizontal="center" vertical="center"/>
    </xf>
    <xf numFmtId="4" fontId="7" fillId="2" borderId="0" xfId="0" applyNumberFormat="1" applyFont="1" applyFill="1" applyAlignment="1">
      <alignment horizontal="center" vertical="center"/>
    </xf>
    <xf numFmtId="4" fontId="9" fillId="0" borderId="0" xfId="0" applyNumberFormat="1" applyFont="1" applyBorder="1" applyAlignment="1">
      <alignment horizontal="center" vertical="center" wrapText="1"/>
    </xf>
    <xf numFmtId="4" fontId="7" fillId="0" borderId="0" xfId="0" applyNumberFormat="1" applyFont="1" applyBorder="1" applyAlignment="1">
      <alignment horizontal="center" vertical="center"/>
    </xf>
    <xf numFmtId="4" fontId="8" fillId="0" borderId="0" xfId="0" applyNumberFormat="1" applyFont="1" applyBorder="1" applyAlignment="1">
      <alignment horizontal="center" vertical="center"/>
    </xf>
    <xf numFmtId="4" fontId="8" fillId="0" borderId="0" xfId="0" applyNumberFormat="1" applyFont="1" applyAlignment="1">
      <alignment horizontal="center" vertical="center"/>
    </xf>
    <xf numFmtId="4" fontId="7" fillId="0" borderId="2" xfId="0" applyNumberFormat="1" applyFont="1" applyFill="1" applyBorder="1" applyAlignment="1">
      <alignment horizontal="center" vertical="center" wrapText="1"/>
    </xf>
    <xf numFmtId="4" fontId="7" fillId="0" borderId="1" xfId="0" applyNumberFormat="1" applyFont="1" applyBorder="1" applyAlignment="1">
      <alignment horizontal="center" vertical="center"/>
    </xf>
    <xf numFmtId="4" fontId="7" fillId="2" borderId="1" xfId="0" applyNumberFormat="1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justify" wrapText="1"/>
    </xf>
    <xf numFmtId="0" fontId="7" fillId="2" borderId="1" xfId="0" applyFont="1" applyFill="1" applyBorder="1" applyAlignment="1">
      <alignment horizontal="justify" vertical="center" wrapText="1"/>
    </xf>
    <xf numFmtId="4" fontId="9" fillId="2" borderId="0" xfId="0" applyNumberFormat="1" applyFont="1" applyFill="1" applyAlignment="1">
      <alignment horizontal="center" vertical="center"/>
    </xf>
    <xf numFmtId="0" fontId="9" fillId="2" borderId="0" xfId="0" applyFont="1" applyFill="1"/>
    <xf numFmtId="0" fontId="10" fillId="2" borderId="1" xfId="0" applyFont="1" applyFill="1" applyBorder="1" applyAlignment="1">
      <alignment horizontal="center" vertical="center" wrapText="1"/>
    </xf>
    <xf numFmtId="4" fontId="7" fillId="2" borderId="1" xfId="0" applyNumberFormat="1" applyFont="1" applyFill="1" applyBorder="1" applyAlignment="1">
      <alignment horizontal="center" vertical="center" wrapText="1"/>
    </xf>
    <xf numFmtId="4" fontId="7" fillId="2" borderId="2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left" vertical="center" wrapText="1"/>
    </xf>
    <xf numFmtId="4" fontId="8" fillId="2" borderId="0" xfId="0" applyNumberFormat="1" applyFont="1" applyFill="1" applyAlignment="1">
      <alignment horizontal="center" vertical="center"/>
    </xf>
    <xf numFmtId="0" fontId="8" fillId="2" borderId="0" xfId="0" applyFont="1" applyFill="1"/>
    <xf numFmtId="4" fontId="9" fillId="3" borderId="2" xfId="0" applyNumberFormat="1" applyFont="1" applyFill="1" applyBorder="1" applyAlignment="1">
      <alignment horizontal="right"/>
    </xf>
    <xf numFmtId="4" fontId="9" fillId="3" borderId="2" xfId="0" applyNumberFormat="1" applyFont="1" applyFill="1" applyBorder="1" applyAlignment="1">
      <alignment horizontal="center" vertical="center"/>
    </xf>
    <xf numFmtId="4" fontId="9" fillId="3" borderId="1" xfId="0" applyNumberFormat="1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right"/>
    </xf>
    <xf numFmtId="4" fontId="8" fillId="3" borderId="1" xfId="0" applyNumberFormat="1" applyFont="1" applyFill="1" applyBorder="1" applyAlignment="1">
      <alignment horizontal="center" vertical="center"/>
    </xf>
    <xf numFmtId="4" fontId="9" fillId="0" borderId="0" xfId="0" applyNumberFormat="1" applyFont="1" applyFill="1" applyBorder="1" applyAlignment="1">
      <alignment horizontal="center" vertical="center"/>
    </xf>
    <xf numFmtId="4" fontId="9" fillId="0" borderId="0" xfId="0" applyNumberFormat="1" applyFont="1" applyFill="1" applyAlignment="1">
      <alignment horizontal="center" vertical="center"/>
    </xf>
    <xf numFmtId="0" fontId="9" fillId="0" borderId="0" xfId="0" applyFont="1" applyFill="1"/>
    <xf numFmtId="2" fontId="7" fillId="0" borderId="3" xfId="0" applyNumberFormat="1" applyFont="1" applyBorder="1" applyAlignment="1">
      <alignment horizontal="center" vertical="center"/>
    </xf>
    <xf numFmtId="2" fontId="7" fillId="0" borderId="3" xfId="0" applyNumberFormat="1" applyFont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 wrapText="1"/>
    </xf>
    <xf numFmtId="4" fontId="7" fillId="0" borderId="3" xfId="0" applyNumberFormat="1" applyFont="1" applyFill="1" applyBorder="1" applyAlignment="1">
      <alignment horizontal="center" vertical="center" wrapText="1"/>
    </xf>
    <xf numFmtId="4" fontId="7" fillId="0" borderId="5" xfId="0" applyNumberFormat="1" applyFont="1" applyFill="1" applyBorder="1" applyAlignment="1">
      <alignment horizontal="center" vertical="center" wrapText="1"/>
    </xf>
    <xf numFmtId="4" fontId="7" fillId="0" borderId="3" xfId="0" applyNumberFormat="1" applyFont="1" applyBorder="1" applyAlignment="1">
      <alignment horizontal="center" vertical="center"/>
    </xf>
    <xf numFmtId="4" fontId="9" fillId="3" borderId="4" xfId="0" applyNumberFormat="1" applyFont="1" applyFill="1" applyBorder="1" applyAlignment="1">
      <alignment horizontal="right"/>
    </xf>
    <xf numFmtId="4" fontId="3" fillId="3" borderId="1" xfId="0" applyNumberFormat="1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4" fontId="5" fillId="3" borderId="1" xfId="0" applyNumberFormat="1" applyFont="1" applyFill="1" applyBorder="1" applyAlignment="1">
      <alignment horizontal="center"/>
    </xf>
    <xf numFmtId="0" fontId="1" fillId="2" borderId="1" xfId="0" applyFont="1" applyFill="1" applyBorder="1" applyAlignment="1">
      <alignment horizontal="justify" vertical="center" wrapText="1"/>
    </xf>
    <xf numFmtId="0" fontId="12" fillId="0" borderId="0" xfId="0" applyFont="1" applyAlignment="1">
      <alignment horizontal="center" vertical="center"/>
    </xf>
    <xf numFmtId="0" fontId="12" fillId="0" borderId="0" xfId="0" applyFont="1"/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justify" vertical="center" wrapText="1"/>
    </xf>
    <xf numFmtId="2" fontId="6" fillId="0" borderId="1" xfId="0" applyNumberFormat="1" applyFont="1" applyBorder="1" applyAlignment="1">
      <alignment vertical="center" wrapText="1"/>
    </xf>
    <xf numFmtId="2" fontId="6" fillId="2" borderId="1" xfId="0" applyNumberFormat="1" applyFont="1" applyFill="1" applyBorder="1" applyAlignment="1">
      <alignment vertical="center" wrapText="1"/>
    </xf>
    <xf numFmtId="2" fontId="1" fillId="0" borderId="1" xfId="0" applyNumberFormat="1" applyFont="1" applyBorder="1" applyAlignment="1">
      <alignment horizontal="right" vertical="center" wrapText="1"/>
    </xf>
    <xf numFmtId="2" fontId="1" fillId="2" borderId="1" xfId="0" applyNumberFormat="1" applyFont="1" applyFill="1" applyBorder="1" applyAlignment="1">
      <alignment horizontal="right" vertical="center" wrapText="1"/>
    </xf>
    <xf numFmtId="0" fontId="6" fillId="2" borderId="1" xfId="0" applyFont="1" applyFill="1" applyBorder="1" applyAlignment="1">
      <alignment horizontal="justify" wrapText="1"/>
    </xf>
    <xf numFmtId="2" fontId="12" fillId="0" borderId="0" xfId="0" applyNumberFormat="1" applyFont="1"/>
    <xf numFmtId="0" fontId="12" fillId="2" borderId="1" xfId="0" applyFont="1" applyFill="1" applyBorder="1" applyAlignment="1">
      <alignment horizontal="center" vertical="center"/>
    </xf>
    <xf numFmtId="0" fontId="12" fillId="2" borderId="1" xfId="0" applyFont="1" applyFill="1" applyBorder="1"/>
    <xf numFmtId="0" fontId="12" fillId="2" borderId="0" xfId="0" applyFont="1" applyFill="1" applyAlignment="1">
      <alignment horizontal="center" vertical="center"/>
    </xf>
    <xf numFmtId="0" fontId="12" fillId="2" borderId="0" xfId="0" applyFont="1" applyFill="1"/>
    <xf numFmtId="0" fontId="12" fillId="2" borderId="0" xfId="0" applyFont="1" applyFill="1" applyAlignment="1"/>
    <xf numFmtId="2" fontId="12" fillId="2" borderId="0" xfId="0" applyNumberFormat="1" applyFont="1" applyFill="1"/>
    <xf numFmtId="0" fontId="12" fillId="0" borderId="0" xfId="0" applyFont="1" applyAlignment="1"/>
    <xf numFmtId="2" fontId="12" fillId="2" borderId="1" xfId="0" applyNumberFormat="1" applyFont="1" applyFill="1" applyBorder="1" applyAlignment="1"/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/>
    <xf numFmtId="0" fontId="13" fillId="0" borderId="0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justify" wrapText="1"/>
    </xf>
    <xf numFmtId="0" fontId="1" fillId="0" borderId="1" xfId="0" applyFont="1" applyBorder="1" applyAlignment="1">
      <alignment horizontal="justify" vertical="center" wrapText="1"/>
    </xf>
    <xf numFmtId="4" fontId="2" fillId="3" borderId="1" xfId="0" applyNumberFormat="1" applyFont="1" applyFill="1" applyBorder="1" applyAlignment="1">
      <alignment horizontal="center" vertical="center"/>
    </xf>
    <xf numFmtId="4" fontId="7" fillId="0" borderId="2" xfId="0" applyNumberFormat="1" applyFont="1" applyBorder="1" applyAlignment="1">
      <alignment horizontal="center" vertical="center"/>
    </xf>
    <xf numFmtId="4" fontId="7" fillId="2" borderId="2" xfId="0" applyNumberFormat="1" applyFont="1" applyFill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164" fontId="7" fillId="2" borderId="1" xfId="0" applyNumberFormat="1" applyFont="1" applyFill="1" applyBorder="1" applyAlignment="1">
      <alignment horizontal="center" vertical="center"/>
    </xf>
    <xf numFmtId="164" fontId="9" fillId="0" borderId="1" xfId="0" applyNumberFormat="1" applyFont="1" applyFill="1" applyBorder="1" applyAlignment="1">
      <alignment horizontal="center" vertical="center"/>
    </xf>
    <xf numFmtId="4" fontId="7" fillId="2" borderId="0" xfId="0" applyNumberFormat="1" applyFont="1" applyFill="1" applyBorder="1" applyAlignment="1">
      <alignment horizontal="center" vertical="center"/>
    </xf>
    <xf numFmtId="0" fontId="7" fillId="2" borderId="0" xfId="0" applyFont="1" applyFill="1" applyBorder="1"/>
    <xf numFmtId="0" fontId="7" fillId="0" borderId="0" xfId="0" applyFont="1" applyBorder="1"/>
    <xf numFmtId="4" fontId="11" fillId="0" borderId="0" xfId="0" applyNumberFormat="1" applyFont="1" applyFill="1" applyBorder="1" applyAlignment="1">
      <alignment horizontal="center" vertical="center" wrapText="1"/>
    </xf>
    <xf numFmtId="2" fontId="11" fillId="0" borderId="0" xfId="0" applyNumberFormat="1" applyFont="1" applyFill="1" applyBorder="1" applyAlignment="1">
      <alignment horizontal="left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justify" vertical="center" wrapText="1"/>
    </xf>
    <xf numFmtId="2" fontId="7" fillId="0" borderId="7" xfId="0" applyNumberFormat="1" applyFont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4" fontId="7" fillId="0" borderId="7" xfId="0" applyNumberFormat="1" applyFont="1" applyFill="1" applyBorder="1" applyAlignment="1">
      <alignment horizontal="center" vertical="center" wrapText="1"/>
    </xf>
    <xf numFmtId="4" fontId="7" fillId="0" borderId="8" xfId="0" applyNumberFormat="1" applyFont="1" applyFill="1" applyBorder="1" applyAlignment="1">
      <alignment horizontal="center" vertical="center" wrapText="1"/>
    </xf>
    <xf numFmtId="4" fontId="7" fillId="0" borderId="7" xfId="0" applyNumberFormat="1" applyFont="1" applyBorder="1" applyAlignment="1">
      <alignment horizontal="center" vertical="center"/>
    </xf>
    <xf numFmtId="4" fontId="7" fillId="0" borderId="8" xfId="0" applyNumberFormat="1" applyFont="1" applyBorder="1" applyAlignment="1">
      <alignment horizontal="center" vertical="center"/>
    </xf>
    <xf numFmtId="4" fontId="11" fillId="0" borderId="1" xfId="0" applyNumberFormat="1" applyFont="1" applyFill="1" applyBorder="1" applyAlignment="1">
      <alignment horizontal="center" vertical="center" wrapText="1"/>
    </xf>
    <xf numFmtId="2" fontId="7" fillId="4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 vertical="center" wrapText="1"/>
    </xf>
    <xf numFmtId="4" fontId="7" fillId="0" borderId="0" xfId="0" applyNumberFormat="1" applyFont="1" applyBorder="1" applyAlignment="1">
      <alignment horizontal="center" vertical="center"/>
    </xf>
    <xf numFmtId="0" fontId="14" fillId="2" borderId="0" xfId="0" applyFont="1" applyFill="1" applyBorder="1" applyAlignment="1">
      <alignment horizontal="left"/>
    </xf>
    <xf numFmtId="0" fontId="14" fillId="0" borderId="0" xfId="0" applyFont="1" applyBorder="1" applyAlignment="1">
      <alignment horizontal="left"/>
    </xf>
    <xf numFmtId="0" fontId="9" fillId="3" borderId="4" xfId="0" applyFont="1" applyFill="1" applyBorder="1" applyAlignment="1">
      <alignment horizontal="right"/>
    </xf>
    <xf numFmtId="0" fontId="8" fillId="3" borderId="4" xfId="0" applyFont="1" applyFill="1" applyBorder="1" applyAlignment="1">
      <alignment horizontal="right"/>
    </xf>
    <xf numFmtId="0" fontId="9" fillId="3" borderId="1" xfId="0" applyFont="1" applyFill="1" applyBorder="1" applyAlignment="1">
      <alignment horizontal="right"/>
    </xf>
    <xf numFmtId="0" fontId="14" fillId="0" borderId="2" xfId="0" applyFont="1" applyFill="1" applyBorder="1" applyAlignment="1">
      <alignment horizontal="left"/>
    </xf>
    <xf numFmtId="0" fontId="14" fillId="0" borderId="4" xfId="0" applyFont="1" applyFill="1" applyBorder="1" applyAlignment="1">
      <alignment horizontal="left"/>
    </xf>
    <xf numFmtId="0" fontId="15" fillId="0" borderId="4" xfId="0" applyFont="1" applyFill="1" applyBorder="1" applyAlignment="1">
      <alignment horizontal="left"/>
    </xf>
    <xf numFmtId="0" fontId="15" fillId="0" borderId="6" xfId="0" applyFont="1" applyFill="1" applyBorder="1" applyAlignment="1">
      <alignment horizontal="left"/>
    </xf>
    <xf numFmtId="0" fontId="2" fillId="3" borderId="2" xfId="0" applyFont="1" applyFill="1" applyBorder="1" applyAlignment="1">
      <alignment horizontal="right"/>
    </xf>
    <xf numFmtId="0" fontId="5" fillId="3" borderId="4" xfId="0" applyFont="1" applyFill="1" applyBorder="1" applyAlignment="1">
      <alignment horizontal="right"/>
    </xf>
    <xf numFmtId="0" fontId="5" fillId="3" borderId="6" xfId="0" applyFont="1" applyFill="1" applyBorder="1" applyAlignment="1">
      <alignment horizontal="right"/>
    </xf>
    <xf numFmtId="0" fontId="7" fillId="0" borderId="9" xfId="0" applyFont="1" applyBorder="1" applyAlignment="1">
      <alignment vertical="top" wrapText="1"/>
    </xf>
    <xf numFmtId="0" fontId="0" fillId="0" borderId="9" xfId="0" applyBorder="1" applyAlignment="1">
      <alignment vertical="top" wrapText="1"/>
    </xf>
    <xf numFmtId="0" fontId="0" fillId="0" borderId="0" xfId="0" applyAlignment="1">
      <alignment vertical="top" wrapText="1"/>
    </xf>
    <xf numFmtId="2" fontId="12" fillId="2" borderId="2" xfId="0" applyNumberFormat="1" applyFont="1" applyFill="1" applyBorder="1" applyAlignment="1">
      <alignment horizontal="center" vertical="center"/>
    </xf>
    <xf numFmtId="0" fontId="12" fillId="2" borderId="6" xfId="0" applyFont="1" applyFill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R43"/>
  <sheetViews>
    <sheetView tabSelected="1" view="pageBreakPreview" zoomScale="70" zoomScaleNormal="85" zoomScaleSheetLayoutView="70" workbookViewId="0">
      <selection activeCell="B5" sqref="B5"/>
    </sheetView>
  </sheetViews>
  <sheetFormatPr defaultColWidth="8.85546875" defaultRowHeight="15.75"/>
  <cols>
    <col min="1" max="1" width="11.85546875" style="1" customWidth="1"/>
    <col min="2" max="2" width="48" style="1" customWidth="1"/>
    <col min="3" max="3" width="22.5703125" style="1" customWidth="1"/>
    <col min="4" max="4" width="14.7109375" style="1" hidden="1" customWidth="1"/>
    <col min="5" max="5" width="12.42578125" style="1" customWidth="1"/>
    <col min="6" max="6" width="23.7109375" style="25" customWidth="1"/>
    <col min="7" max="7" width="16.7109375" style="25" hidden="1" customWidth="1"/>
    <col min="8" max="10" width="16.7109375" style="29" hidden="1" customWidth="1"/>
    <col min="11" max="12" width="16.7109375" style="1" hidden="1" customWidth="1"/>
    <col min="13" max="13" width="16.7109375" style="29" hidden="1" customWidth="1"/>
    <col min="14" max="14" width="25.28515625" style="29" customWidth="1"/>
    <col min="15" max="15" width="16.7109375" style="29" customWidth="1"/>
    <col min="16" max="18" width="16.7109375" style="1" customWidth="1"/>
    <col min="19" max="16384" width="8.85546875" style="1"/>
  </cols>
  <sheetData>
    <row r="1" spans="1:17">
      <c r="F1" s="2"/>
      <c r="G1" s="2"/>
    </row>
    <row r="2" spans="1:17">
      <c r="B2" s="1" t="s">
        <v>81</v>
      </c>
      <c r="F2" s="3"/>
      <c r="G2" s="3"/>
    </row>
    <row r="3" spans="1:17" s="4" customFormat="1" ht="18.75" customHeight="1">
      <c r="A3" s="115" t="s">
        <v>82</v>
      </c>
      <c r="B3" s="115"/>
      <c r="C3" s="115"/>
      <c r="D3" s="115"/>
      <c r="E3" s="115"/>
      <c r="F3" s="115"/>
      <c r="G3" s="115"/>
      <c r="H3" s="115"/>
      <c r="I3" s="115"/>
      <c r="J3" s="115"/>
      <c r="K3" s="115"/>
      <c r="L3" s="115"/>
      <c r="M3" s="115"/>
      <c r="N3" s="115"/>
      <c r="O3" s="99"/>
      <c r="P3" s="100"/>
      <c r="Q3" s="100"/>
    </row>
    <row r="4" spans="1:17" s="4" customFormat="1" ht="21" customHeight="1">
      <c r="A4" s="115"/>
      <c r="B4" s="115"/>
      <c r="C4" s="115"/>
      <c r="D4" s="115"/>
      <c r="E4" s="115"/>
      <c r="F4" s="115"/>
      <c r="G4" s="115"/>
      <c r="H4" s="115"/>
      <c r="I4" s="115"/>
      <c r="J4" s="115"/>
      <c r="K4" s="115"/>
      <c r="L4" s="115"/>
      <c r="M4" s="115"/>
      <c r="N4" s="115"/>
      <c r="O4" s="99"/>
      <c r="P4" s="100"/>
      <c r="Q4" s="100"/>
    </row>
    <row r="5" spans="1:17" ht="24.75" customHeight="1">
      <c r="A5" s="5"/>
      <c r="B5" s="5" t="s">
        <v>47</v>
      </c>
      <c r="C5" s="5" t="s">
        <v>0</v>
      </c>
      <c r="D5" s="6">
        <v>13145.3</v>
      </c>
      <c r="E5" s="6">
        <v>13145.3</v>
      </c>
      <c r="F5" s="7"/>
      <c r="G5" s="7"/>
      <c r="H5" s="31"/>
      <c r="I5" s="31"/>
      <c r="K5" s="5"/>
      <c r="L5" s="5"/>
      <c r="O5" s="32"/>
      <c r="P5" s="101"/>
      <c r="Q5" s="101"/>
    </row>
    <row r="6" spans="1:17" ht="20.25" customHeight="1">
      <c r="A6" s="118" t="s">
        <v>1</v>
      </c>
      <c r="B6" s="118"/>
      <c r="C6" s="118"/>
      <c r="D6" s="118"/>
      <c r="E6" s="118"/>
      <c r="F6" s="118"/>
      <c r="G6" s="118"/>
      <c r="H6" s="118"/>
      <c r="I6" s="118"/>
      <c r="K6" s="116" t="s">
        <v>44</v>
      </c>
      <c r="L6" s="116"/>
      <c r="M6" s="116"/>
      <c r="O6" s="32"/>
      <c r="P6" s="101"/>
      <c r="Q6" s="101"/>
    </row>
    <row r="7" spans="1:17" ht="53.45" customHeight="1">
      <c r="A7" s="8" t="s">
        <v>2</v>
      </c>
      <c r="B7" s="8" t="s">
        <v>3</v>
      </c>
      <c r="C7" s="8" t="s">
        <v>4</v>
      </c>
      <c r="D7" s="8" t="s">
        <v>5</v>
      </c>
      <c r="E7" s="8" t="s">
        <v>6</v>
      </c>
      <c r="F7" s="9" t="s">
        <v>54</v>
      </c>
      <c r="G7" s="9" t="s">
        <v>7</v>
      </c>
      <c r="H7" s="12" t="s">
        <v>9</v>
      </c>
      <c r="I7" s="12" t="s">
        <v>8</v>
      </c>
      <c r="J7" s="12" t="s">
        <v>46</v>
      </c>
      <c r="K7" s="8" t="s">
        <v>45</v>
      </c>
      <c r="L7" s="8"/>
      <c r="M7" s="112"/>
      <c r="N7" s="12" t="s">
        <v>46</v>
      </c>
      <c r="O7" s="102"/>
      <c r="P7" s="103"/>
      <c r="Q7" s="103"/>
    </row>
    <row r="8" spans="1:17" ht="63">
      <c r="A8" s="8">
        <v>1</v>
      </c>
      <c r="B8" s="10" t="s">
        <v>13</v>
      </c>
      <c r="C8" s="8" t="s">
        <v>14</v>
      </c>
      <c r="D8" s="11">
        <v>0.33</v>
      </c>
      <c r="E8" s="11">
        <v>13145.3</v>
      </c>
      <c r="F8" s="9" t="s">
        <v>15</v>
      </c>
      <c r="G8" s="9">
        <v>12</v>
      </c>
      <c r="H8" s="12">
        <f t="shared" ref="H8:H26" si="0">D8*E8</f>
        <v>4337.9489999999996</v>
      </c>
      <c r="I8" s="12">
        <f t="shared" ref="I8:I26" si="1">H8*G8</f>
        <v>52055.387999999992</v>
      </c>
      <c r="J8" s="36">
        <f>I8/G8/E8</f>
        <v>0.33</v>
      </c>
      <c r="K8" s="8"/>
      <c r="L8" s="8"/>
      <c r="M8" s="36"/>
      <c r="N8" s="96">
        <f>J8*1.04*1.092*1.072*1.0948*1.083*1.054</f>
        <v>0.50207495631184551</v>
      </c>
      <c r="O8" s="32"/>
      <c r="P8" s="101"/>
      <c r="Q8" s="101"/>
    </row>
    <row r="9" spans="1:17" ht="63">
      <c r="A9" s="8">
        <f t="shared" ref="A9:A26" si="2">A8+1</f>
        <v>2</v>
      </c>
      <c r="B9" s="10" t="s">
        <v>48</v>
      </c>
      <c r="C9" s="8" t="s">
        <v>14</v>
      </c>
      <c r="D9" s="11">
        <v>0.08</v>
      </c>
      <c r="E9" s="11">
        <v>13145.3</v>
      </c>
      <c r="F9" s="9" t="s">
        <v>15</v>
      </c>
      <c r="G9" s="9">
        <v>12</v>
      </c>
      <c r="H9" s="12">
        <f t="shared" si="0"/>
        <v>1051.624</v>
      </c>
      <c r="I9" s="12">
        <f t="shared" si="1"/>
        <v>12619.488000000001</v>
      </c>
      <c r="J9" s="36">
        <f t="shared" ref="J9:J26" si="3">I9/G9/E9</f>
        <v>0.08</v>
      </c>
      <c r="K9" s="8"/>
      <c r="L9" s="8"/>
      <c r="M9" s="36"/>
      <c r="N9" s="96">
        <f t="shared" ref="N9:N19" si="4">J9*1.04*1.092*1.072*1.0948*1.083*1.054</f>
        <v>0.12171514092408375</v>
      </c>
    </row>
    <row r="10" spans="1:17" ht="63">
      <c r="A10" s="8">
        <f t="shared" si="2"/>
        <v>3</v>
      </c>
      <c r="B10" s="10" t="s">
        <v>17</v>
      </c>
      <c r="C10" s="8" t="s">
        <v>16</v>
      </c>
      <c r="D10" s="11">
        <v>0.16</v>
      </c>
      <c r="E10" s="11">
        <v>13145.3</v>
      </c>
      <c r="F10" s="9" t="s">
        <v>15</v>
      </c>
      <c r="G10" s="9">
        <v>12</v>
      </c>
      <c r="H10" s="12">
        <f t="shared" si="0"/>
        <v>2103.248</v>
      </c>
      <c r="I10" s="12">
        <f t="shared" si="1"/>
        <v>25238.976000000002</v>
      </c>
      <c r="J10" s="36">
        <f t="shared" si="3"/>
        <v>0.16</v>
      </c>
      <c r="K10" s="8"/>
      <c r="L10" s="8"/>
      <c r="M10" s="36"/>
      <c r="N10" s="96">
        <f t="shared" si="4"/>
        <v>0.24343028184816751</v>
      </c>
    </row>
    <row r="11" spans="1:17" ht="30" customHeight="1">
      <c r="A11" s="8">
        <f t="shared" si="2"/>
        <v>4</v>
      </c>
      <c r="B11" s="10" t="s">
        <v>18</v>
      </c>
      <c r="C11" s="8" t="s">
        <v>19</v>
      </c>
      <c r="D11" s="11">
        <v>7.0000000000000007E-2</v>
      </c>
      <c r="E11" s="11">
        <v>13145.3</v>
      </c>
      <c r="F11" s="9" t="s">
        <v>15</v>
      </c>
      <c r="G11" s="9">
        <v>12</v>
      </c>
      <c r="H11" s="12">
        <f t="shared" si="0"/>
        <v>920.17100000000005</v>
      </c>
      <c r="I11" s="12">
        <f t="shared" si="1"/>
        <v>11042.052</v>
      </c>
      <c r="J11" s="36">
        <f t="shared" si="3"/>
        <v>6.9999999999999993E-2</v>
      </c>
      <c r="K11" s="8"/>
      <c r="L11" s="8"/>
      <c r="M11" s="36"/>
      <c r="N11" s="96">
        <f t="shared" si="4"/>
        <v>0.10650074830857327</v>
      </c>
    </row>
    <row r="12" spans="1:17" ht="78.75">
      <c r="A12" s="8">
        <f t="shared" si="2"/>
        <v>5</v>
      </c>
      <c r="B12" s="10" t="s">
        <v>20</v>
      </c>
      <c r="C12" s="8" t="s">
        <v>21</v>
      </c>
      <c r="D12" s="11">
        <v>0.04</v>
      </c>
      <c r="E12" s="11">
        <v>13145.3</v>
      </c>
      <c r="F12" s="9" t="s">
        <v>15</v>
      </c>
      <c r="G12" s="9">
        <v>12</v>
      </c>
      <c r="H12" s="12">
        <f t="shared" si="0"/>
        <v>525.81200000000001</v>
      </c>
      <c r="I12" s="12">
        <f t="shared" si="1"/>
        <v>6309.7440000000006</v>
      </c>
      <c r="J12" s="36">
        <f t="shared" si="3"/>
        <v>0.04</v>
      </c>
      <c r="K12" s="8"/>
      <c r="L12" s="8"/>
      <c r="M12" s="36"/>
      <c r="N12" s="96">
        <f t="shared" si="4"/>
        <v>6.0857570462041877E-2</v>
      </c>
    </row>
    <row r="13" spans="1:17" ht="63">
      <c r="A13" s="104">
        <f t="shared" si="2"/>
        <v>6</v>
      </c>
      <c r="B13" s="105" t="s">
        <v>23</v>
      </c>
      <c r="C13" s="104" t="s">
        <v>24</v>
      </c>
      <c r="D13" s="106">
        <v>0.2</v>
      </c>
      <c r="E13" s="106">
        <v>13145.3</v>
      </c>
      <c r="F13" s="107" t="s">
        <v>15</v>
      </c>
      <c r="G13" s="107">
        <v>12</v>
      </c>
      <c r="H13" s="108">
        <f t="shared" si="0"/>
        <v>2629.06</v>
      </c>
      <c r="I13" s="109">
        <f t="shared" si="1"/>
        <v>31548.720000000001</v>
      </c>
      <c r="J13" s="110">
        <f t="shared" si="3"/>
        <v>0.2</v>
      </c>
      <c r="K13" s="104"/>
      <c r="L13" s="104"/>
      <c r="M13" s="111"/>
      <c r="N13" s="96">
        <f t="shared" si="4"/>
        <v>0.30428785231020938</v>
      </c>
    </row>
    <row r="14" spans="1:17" ht="63">
      <c r="A14" s="8">
        <f t="shared" si="2"/>
        <v>7</v>
      </c>
      <c r="B14" s="10" t="s">
        <v>49</v>
      </c>
      <c r="C14" s="8" t="s">
        <v>26</v>
      </c>
      <c r="D14" s="11">
        <v>0.18000000000000002</v>
      </c>
      <c r="E14" s="11">
        <v>13145.3</v>
      </c>
      <c r="F14" s="9" t="s">
        <v>15</v>
      </c>
      <c r="G14" s="9">
        <v>12</v>
      </c>
      <c r="H14" s="12">
        <f t="shared" si="0"/>
        <v>2366.154</v>
      </c>
      <c r="I14" s="35">
        <f t="shared" si="1"/>
        <v>28393.847999999998</v>
      </c>
      <c r="J14" s="36">
        <f t="shared" si="3"/>
        <v>0.18000000000000002</v>
      </c>
      <c r="K14" s="8"/>
      <c r="L14" s="8"/>
      <c r="M14" s="94"/>
      <c r="N14" s="96">
        <f t="shared" si="4"/>
        <v>0.27385906707918856</v>
      </c>
    </row>
    <row r="15" spans="1:17" ht="63">
      <c r="A15" s="8">
        <f t="shared" si="2"/>
        <v>8</v>
      </c>
      <c r="B15" s="26" t="s">
        <v>43</v>
      </c>
      <c r="C15" s="8" t="s">
        <v>26</v>
      </c>
      <c r="D15" s="11">
        <v>0.19</v>
      </c>
      <c r="E15" s="11">
        <v>13145.3</v>
      </c>
      <c r="F15" s="9" t="s">
        <v>15</v>
      </c>
      <c r="G15" s="9">
        <v>12</v>
      </c>
      <c r="H15" s="12">
        <f t="shared" si="0"/>
        <v>2497.607</v>
      </c>
      <c r="I15" s="35">
        <f t="shared" si="1"/>
        <v>29971.284</v>
      </c>
      <c r="J15" s="36">
        <f t="shared" si="3"/>
        <v>0.19</v>
      </c>
      <c r="K15" s="8"/>
      <c r="L15" s="8"/>
      <c r="M15" s="94"/>
      <c r="N15" s="96">
        <f t="shared" si="4"/>
        <v>0.28907345969469883</v>
      </c>
    </row>
    <row r="16" spans="1:17" ht="33" customHeight="1">
      <c r="A16" s="8">
        <f t="shared" si="2"/>
        <v>9</v>
      </c>
      <c r="B16" s="10" t="s">
        <v>50</v>
      </c>
      <c r="C16" s="8" t="s">
        <v>14</v>
      </c>
      <c r="D16" s="11">
        <v>0.52</v>
      </c>
      <c r="E16" s="11">
        <v>13145.3</v>
      </c>
      <c r="F16" s="13" t="s">
        <v>53</v>
      </c>
      <c r="G16" s="9">
        <v>12</v>
      </c>
      <c r="H16" s="12">
        <f t="shared" si="0"/>
        <v>6835.5559999999996</v>
      </c>
      <c r="I16" s="35">
        <f t="shared" si="1"/>
        <v>82026.671999999991</v>
      </c>
      <c r="J16" s="36">
        <f t="shared" si="3"/>
        <v>0.52</v>
      </c>
      <c r="K16" s="8"/>
      <c r="L16" s="8"/>
      <c r="M16" s="94"/>
      <c r="N16" s="96">
        <f t="shared" si="4"/>
        <v>0.7911484160065444</v>
      </c>
    </row>
    <row r="17" spans="1:15" ht="33" customHeight="1">
      <c r="A17" s="8">
        <f t="shared" si="2"/>
        <v>10</v>
      </c>
      <c r="B17" s="10" t="s">
        <v>27</v>
      </c>
      <c r="C17" s="8" t="s">
        <v>14</v>
      </c>
      <c r="D17" s="11">
        <v>0.44</v>
      </c>
      <c r="E17" s="11">
        <v>13145.3</v>
      </c>
      <c r="F17" s="13" t="s">
        <v>53</v>
      </c>
      <c r="G17" s="9">
        <v>12</v>
      </c>
      <c r="H17" s="12">
        <f t="shared" si="0"/>
        <v>5783.9319999999998</v>
      </c>
      <c r="I17" s="35">
        <f t="shared" si="1"/>
        <v>69407.183999999994</v>
      </c>
      <c r="J17" s="36">
        <f t="shared" si="3"/>
        <v>0.44</v>
      </c>
      <c r="K17" s="8"/>
      <c r="L17" s="8"/>
      <c r="M17" s="94"/>
      <c r="N17" s="96">
        <f t="shared" si="4"/>
        <v>0.66943327508246053</v>
      </c>
    </row>
    <row r="18" spans="1:15" ht="41.25" customHeight="1">
      <c r="A18" s="8">
        <f t="shared" si="2"/>
        <v>11</v>
      </c>
      <c r="B18" s="10" t="s">
        <v>28</v>
      </c>
      <c r="C18" s="8" t="s">
        <v>26</v>
      </c>
      <c r="D18" s="11">
        <v>0.05</v>
      </c>
      <c r="E18" s="11">
        <v>13145.3</v>
      </c>
      <c r="F18" s="9" t="s">
        <v>29</v>
      </c>
      <c r="G18" s="9">
        <v>12</v>
      </c>
      <c r="H18" s="12">
        <f t="shared" si="0"/>
        <v>657.26499999999999</v>
      </c>
      <c r="I18" s="35">
        <f t="shared" si="1"/>
        <v>7887.18</v>
      </c>
      <c r="J18" s="36">
        <f t="shared" si="3"/>
        <v>0.05</v>
      </c>
      <c r="K18" s="8"/>
      <c r="L18" s="8"/>
      <c r="M18" s="94"/>
      <c r="N18" s="96">
        <f t="shared" si="4"/>
        <v>7.6071963077552346E-2</v>
      </c>
    </row>
    <row r="19" spans="1:15" ht="98.25" customHeight="1">
      <c r="A19" s="8">
        <f t="shared" si="2"/>
        <v>12</v>
      </c>
      <c r="B19" s="10" t="s">
        <v>30</v>
      </c>
      <c r="C19" s="8" t="s">
        <v>26</v>
      </c>
      <c r="D19" s="11">
        <v>0.08</v>
      </c>
      <c r="E19" s="11">
        <v>13145.3</v>
      </c>
      <c r="F19" s="9" t="s">
        <v>58</v>
      </c>
      <c r="G19" s="9">
        <v>12</v>
      </c>
      <c r="H19" s="12">
        <f t="shared" si="0"/>
        <v>1051.624</v>
      </c>
      <c r="I19" s="35">
        <f t="shared" si="1"/>
        <v>12619.488000000001</v>
      </c>
      <c r="J19" s="36">
        <f t="shared" si="3"/>
        <v>0.08</v>
      </c>
      <c r="K19" s="8"/>
      <c r="L19" s="8"/>
      <c r="M19" s="94"/>
      <c r="N19" s="96">
        <f t="shared" si="4"/>
        <v>0.12171514092408375</v>
      </c>
    </row>
    <row r="20" spans="1:15" ht="33">
      <c r="A20" s="8">
        <f t="shared" si="2"/>
        <v>13</v>
      </c>
      <c r="B20" s="27" t="s">
        <v>59</v>
      </c>
      <c r="C20" s="8" t="s">
        <v>31</v>
      </c>
      <c r="D20" s="11">
        <v>0.49</v>
      </c>
      <c r="E20" s="11">
        <v>13145.3</v>
      </c>
      <c r="F20" s="9" t="s">
        <v>22</v>
      </c>
      <c r="G20" s="9">
        <v>12</v>
      </c>
      <c r="H20" s="12">
        <f t="shared" si="0"/>
        <v>6441.1969999999992</v>
      </c>
      <c r="I20" s="35">
        <f t="shared" si="1"/>
        <v>77294.363999999987</v>
      </c>
      <c r="J20" s="36">
        <f t="shared" si="3"/>
        <v>0.49</v>
      </c>
      <c r="K20" s="8">
        <v>73960</v>
      </c>
      <c r="L20" s="8">
        <f>K20/12/E20</f>
        <v>0.46886212816241041</v>
      </c>
      <c r="M20" s="94"/>
      <c r="N20" s="114">
        <f>(J20*1.04*1.092*1.072+0.13)*1.0948*1.083*1.054</f>
        <v>0.90796552232801297</v>
      </c>
    </row>
    <row r="21" spans="1:15" ht="31.5">
      <c r="A21" s="8">
        <f t="shared" si="2"/>
        <v>14</v>
      </c>
      <c r="B21" s="26" t="s">
        <v>51</v>
      </c>
      <c r="C21" s="8" t="s">
        <v>32</v>
      </c>
      <c r="D21" s="11">
        <v>1.43</v>
      </c>
      <c r="E21" s="11">
        <v>13145.3</v>
      </c>
      <c r="F21" s="13" t="s">
        <v>53</v>
      </c>
      <c r="G21" s="9">
        <v>12</v>
      </c>
      <c r="H21" s="12">
        <f t="shared" si="0"/>
        <v>18797.778999999999</v>
      </c>
      <c r="I21" s="35">
        <f t="shared" si="1"/>
        <v>225573.348</v>
      </c>
      <c r="J21" s="36">
        <f t="shared" si="3"/>
        <v>1.43</v>
      </c>
      <c r="K21" s="8">
        <v>1550</v>
      </c>
      <c r="L21" s="8">
        <f>(14273.83+1600+41.42)*12</f>
        <v>190983</v>
      </c>
      <c r="M21" s="94">
        <f>L21*0.06+L21</f>
        <v>202441.98</v>
      </c>
      <c r="N21" s="96">
        <f>J21*1.04*1.092*1.072*1.0948*1.083*1.054</f>
        <v>2.1756581440179974</v>
      </c>
    </row>
    <row r="22" spans="1:15" ht="47.25">
      <c r="A22" s="8">
        <f t="shared" si="2"/>
        <v>15</v>
      </c>
      <c r="B22" s="92" t="s">
        <v>78</v>
      </c>
      <c r="C22" s="8" t="s">
        <v>33</v>
      </c>
      <c r="D22" s="11">
        <v>2.74</v>
      </c>
      <c r="E22" s="11">
        <v>13145.3</v>
      </c>
      <c r="F22" s="9" t="s">
        <v>34</v>
      </c>
      <c r="G22" s="9">
        <v>12</v>
      </c>
      <c r="H22" s="12">
        <f t="shared" si="0"/>
        <v>36018.122000000003</v>
      </c>
      <c r="I22" s="35">
        <f t="shared" si="1"/>
        <v>432217.46400000004</v>
      </c>
      <c r="J22" s="36">
        <f t="shared" si="3"/>
        <v>2.74</v>
      </c>
      <c r="K22" s="8">
        <v>3270</v>
      </c>
      <c r="L22" s="8">
        <f>(17698.09+1500+488.82)*12</f>
        <v>236242.91999999998</v>
      </c>
      <c r="M22" s="94">
        <f>L22*0.06+L22</f>
        <v>250417.49519999998</v>
      </c>
      <c r="N22" s="96">
        <f>J22*1.04*1.092*1.072*1.0948*1.083*1.054</f>
        <v>4.1687435766498693</v>
      </c>
    </row>
    <row r="23" spans="1:15" ht="31.5">
      <c r="A23" s="8">
        <f t="shared" si="2"/>
        <v>16</v>
      </c>
      <c r="B23" s="14" t="s">
        <v>35</v>
      </c>
      <c r="C23" s="15" t="s">
        <v>36</v>
      </c>
      <c r="D23" s="113">
        <f>5916.16*1.0948*1.0466*1.054+2.9</f>
        <v>7147.7981248970746</v>
      </c>
      <c r="E23" s="11">
        <v>6</v>
      </c>
      <c r="F23" s="13" t="s">
        <v>53</v>
      </c>
      <c r="G23" s="9">
        <v>12</v>
      </c>
      <c r="H23" s="12">
        <f t="shared" si="0"/>
        <v>42886.788749382446</v>
      </c>
      <c r="I23" s="35">
        <f t="shared" si="1"/>
        <v>514641.46499258932</v>
      </c>
      <c r="J23" s="36">
        <f>I23/G23/D5</f>
        <v>3.262518827975204</v>
      </c>
      <c r="K23" s="8"/>
      <c r="L23" s="8"/>
      <c r="M23" s="94"/>
      <c r="N23" s="96">
        <f>D23*E23/E22</f>
        <v>3.262518827975204</v>
      </c>
    </row>
    <row r="24" spans="1:15">
      <c r="A24" s="8">
        <f t="shared" si="2"/>
        <v>17</v>
      </c>
      <c r="B24" s="14" t="s">
        <v>37</v>
      </c>
      <c r="C24" s="15" t="s">
        <v>14</v>
      </c>
      <c r="D24" s="11">
        <v>1.74</v>
      </c>
      <c r="E24" s="11">
        <v>13145.3</v>
      </c>
      <c r="F24" s="13" t="s">
        <v>53</v>
      </c>
      <c r="G24" s="9">
        <v>12</v>
      </c>
      <c r="H24" s="12">
        <f t="shared" si="0"/>
        <v>22872.822</v>
      </c>
      <c r="I24" s="35">
        <f t="shared" si="1"/>
        <v>274473.864</v>
      </c>
      <c r="J24" s="36">
        <f t="shared" si="3"/>
        <v>1.7400000000000002</v>
      </c>
      <c r="K24" s="8"/>
      <c r="L24" s="8"/>
      <c r="M24" s="94"/>
      <c r="N24" s="96">
        <f>J24*1.04*1.092*1.072*1.0948*1.083*1.054</f>
        <v>2.6473043150988222</v>
      </c>
    </row>
    <row r="25" spans="1:15">
      <c r="A25" s="8">
        <f t="shared" si="2"/>
        <v>18</v>
      </c>
      <c r="B25" s="14" t="s">
        <v>38</v>
      </c>
      <c r="C25" s="15" t="s">
        <v>39</v>
      </c>
      <c r="D25" s="11">
        <v>0.24000000000000002</v>
      </c>
      <c r="E25" s="11">
        <v>13145.3</v>
      </c>
      <c r="F25" s="13" t="s">
        <v>53</v>
      </c>
      <c r="G25" s="9">
        <v>12</v>
      </c>
      <c r="H25" s="12">
        <f t="shared" si="0"/>
        <v>3154.8720000000003</v>
      </c>
      <c r="I25" s="35">
        <f t="shared" si="1"/>
        <v>37858.464000000007</v>
      </c>
      <c r="J25" s="36">
        <f t="shared" si="3"/>
        <v>0.24000000000000007</v>
      </c>
      <c r="K25" s="8"/>
      <c r="L25" s="8"/>
      <c r="M25" s="94"/>
      <c r="N25" s="96">
        <f t="shared" ref="N25:N26" si="5">J25*1.04*1.092*1.072*1.0948*1.083*1.054</f>
        <v>0.36514542277225137</v>
      </c>
    </row>
    <row r="26" spans="1:15" ht="48.75" customHeight="1">
      <c r="A26" s="8">
        <f t="shared" si="2"/>
        <v>19</v>
      </c>
      <c r="B26" s="39" t="s">
        <v>40</v>
      </c>
      <c r="C26" s="57" t="s">
        <v>14</v>
      </c>
      <c r="D26" s="58">
        <v>1.3800000000000001</v>
      </c>
      <c r="E26" s="58">
        <v>13145.3</v>
      </c>
      <c r="F26" s="59" t="s">
        <v>53</v>
      </c>
      <c r="G26" s="60">
        <v>12</v>
      </c>
      <c r="H26" s="61">
        <f t="shared" si="0"/>
        <v>18140.513999999999</v>
      </c>
      <c r="I26" s="62">
        <f t="shared" si="1"/>
        <v>217686.16800000001</v>
      </c>
      <c r="J26" s="63">
        <f t="shared" si="3"/>
        <v>1.3800000000000001</v>
      </c>
      <c r="K26" s="8"/>
      <c r="L26" s="8"/>
      <c r="M26" s="94"/>
      <c r="N26" s="96">
        <f t="shared" si="5"/>
        <v>2.0995861809404448</v>
      </c>
    </row>
    <row r="27" spans="1:15" s="42" customFormat="1">
      <c r="A27" s="119" t="s">
        <v>55</v>
      </c>
      <c r="B27" s="119"/>
      <c r="C27" s="119"/>
      <c r="D27" s="119"/>
      <c r="E27" s="119"/>
      <c r="F27" s="119"/>
      <c r="G27" s="64"/>
      <c r="H27" s="50">
        <f>SUM(H8:H26)</f>
        <v>179072.09674938244</v>
      </c>
      <c r="I27" s="50">
        <f>SUM(I8:I26)</f>
        <v>2148865.1609925893</v>
      </c>
      <c r="J27" s="50">
        <f>SUM(J8:J26)</f>
        <v>13.622518827975204</v>
      </c>
      <c r="K27" s="50">
        <f t="shared" ref="K27:M27" si="6">SUM(K8:K26)</f>
        <v>78780</v>
      </c>
      <c r="L27" s="50">
        <f t="shared" si="6"/>
        <v>427226.38886212814</v>
      </c>
      <c r="M27" s="50">
        <f t="shared" si="6"/>
        <v>452859.47519999999</v>
      </c>
      <c r="N27" s="50">
        <f>SUM(N8:N26)+0.01</f>
        <v>19.197089861812053</v>
      </c>
      <c r="O27" s="41"/>
    </row>
    <row r="28" spans="1:15" s="4" customFormat="1">
      <c r="A28" s="117" t="s">
        <v>41</v>
      </c>
      <c r="B28" s="117"/>
      <c r="C28" s="117"/>
      <c r="D28" s="117"/>
      <c r="E28" s="117"/>
      <c r="F28" s="117"/>
      <c r="G28" s="117"/>
      <c r="H28" s="117"/>
      <c r="I28" s="117"/>
      <c r="J28" s="30"/>
      <c r="K28" s="30"/>
      <c r="L28" s="30"/>
      <c r="M28" s="30"/>
      <c r="N28" s="97"/>
      <c r="O28" s="30"/>
    </row>
    <row r="29" spans="1:15" s="4" customFormat="1" ht="56.25" customHeight="1">
      <c r="A29" s="16" t="s">
        <v>2</v>
      </c>
      <c r="B29" s="16" t="s">
        <v>3</v>
      </c>
      <c r="C29" s="16" t="s">
        <v>4</v>
      </c>
      <c r="D29" s="16" t="s">
        <v>5</v>
      </c>
      <c r="E29" s="16" t="s">
        <v>6</v>
      </c>
      <c r="F29" s="43" t="s">
        <v>54</v>
      </c>
      <c r="G29" s="43" t="s">
        <v>7</v>
      </c>
      <c r="H29" s="44" t="s">
        <v>9</v>
      </c>
      <c r="I29" s="45" t="s">
        <v>8</v>
      </c>
      <c r="J29" s="44" t="s">
        <v>46</v>
      </c>
      <c r="K29" s="16"/>
      <c r="L29" s="16"/>
      <c r="M29" s="95"/>
      <c r="N29" s="12" t="s">
        <v>46</v>
      </c>
      <c r="O29" s="30"/>
    </row>
    <row r="30" spans="1:15" s="4" customFormat="1" ht="28.15" customHeight="1">
      <c r="A30" s="16">
        <v>1</v>
      </c>
      <c r="B30" s="46" t="s">
        <v>41</v>
      </c>
      <c r="C30" s="57" t="s">
        <v>14</v>
      </c>
      <c r="D30" s="18">
        <v>2.76</v>
      </c>
      <c r="E30" s="16">
        <v>13145.3</v>
      </c>
      <c r="F30" s="43" t="s">
        <v>42</v>
      </c>
      <c r="G30" s="43">
        <v>12</v>
      </c>
      <c r="H30" s="44"/>
      <c r="I30" s="44">
        <f>D30*E30*G30</f>
        <v>435372.33600000001</v>
      </c>
      <c r="J30" s="37">
        <f>I30/G30/E30</f>
        <v>2.7600000000000002</v>
      </c>
      <c r="K30" s="16"/>
      <c r="L30" s="16"/>
      <c r="M30" s="95"/>
      <c r="N30" s="97">
        <f>(J30*1.04*1.092*1.072+0.56)*1.0948*1.083*1.054+0.14</f>
        <v>5.0390012782968903</v>
      </c>
      <c r="O30" s="30"/>
    </row>
    <row r="31" spans="1:15" s="4" customFormat="1" ht="36.6" customHeight="1">
      <c r="A31" s="16">
        <v>2</v>
      </c>
      <c r="B31" s="40" t="s">
        <v>10</v>
      </c>
      <c r="C31" s="16" t="s">
        <v>11</v>
      </c>
      <c r="D31" s="113">
        <f>15.97*1.072*1.083*1.058*1.054</f>
        <v>20.675424576647043</v>
      </c>
      <c r="E31" s="18">
        <v>4800</v>
      </c>
      <c r="F31" s="43" t="s">
        <v>42</v>
      </c>
      <c r="G31" s="43">
        <v>1</v>
      </c>
      <c r="H31" s="44">
        <f>D31*E31</f>
        <v>99242.03796790581</v>
      </c>
      <c r="I31" s="45">
        <f>H31*G31</f>
        <v>99242.03796790581</v>
      </c>
      <c r="J31" s="37">
        <f>I31/12/E30</f>
        <v>0.62913511526239929</v>
      </c>
      <c r="K31" s="16"/>
      <c r="L31" s="16"/>
      <c r="M31" s="95"/>
      <c r="N31" s="97">
        <f>D31*E31/12/E30</f>
        <v>0.62913511526239929</v>
      </c>
      <c r="O31" s="30"/>
    </row>
    <row r="32" spans="1:15" s="4" customFormat="1" ht="34.5" customHeight="1">
      <c r="A32" s="16">
        <v>3</v>
      </c>
      <c r="B32" s="40" t="s">
        <v>12</v>
      </c>
      <c r="C32" s="16" t="s">
        <v>11</v>
      </c>
      <c r="D32" s="113">
        <f>11.52*1.072*1.083*1.058*1.054</f>
        <v>14.914269951344641</v>
      </c>
      <c r="E32" s="18">
        <v>4800</v>
      </c>
      <c r="F32" s="43" t="s">
        <v>42</v>
      </c>
      <c r="G32" s="43">
        <v>1</v>
      </c>
      <c r="H32" s="44">
        <f>D32*E32</f>
        <v>71588.495766454274</v>
      </c>
      <c r="I32" s="45">
        <f>H32*G32</f>
        <v>71588.495766454274</v>
      </c>
      <c r="J32" s="37">
        <f>I32/12/E30</f>
        <v>0.45382821088433556</v>
      </c>
      <c r="K32" s="16"/>
      <c r="L32" s="16"/>
      <c r="M32" s="95"/>
      <c r="N32" s="97">
        <f>D32*E32/12/E30</f>
        <v>0.45382821088433556</v>
      </c>
      <c r="O32" s="30"/>
    </row>
    <row r="33" spans="1:18" s="48" customFormat="1">
      <c r="A33" s="120" t="s">
        <v>55</v>
      </c>
      <c r="B33" s="120"/>
      <c r="C33" s="120"/>
      <c r="D33" s="120"/>
      <c r="E33" s="120"/>
      <c r="F33" s="120"/>
      <c r="G33" s="52"/>
      <c r="H33" s="53"/>
      <c r="I33" s="53">
        <f>SUM(I30:I32)</f>
        <v>606202.86973436002</v>
      </c>
      <c r="J33" s="53">
        <f>SUM(J30:J32)</f>
        <v>3.8429633261467351</v>
      </c>
      <c r="K33" s="53">
        <f t="shared" ref="K33:N33" si="7">SUM(K30:K32)</f>
        <v>0</v>
      </c>
      <c r="L33" s="53">
        <f t="shared" si="7"/>
        <v>0</v>
      </c>
      <c r="M33" s="53">
        <f t="shared" si="7"/>
        <v>0</v>
      </c>
      <c r="N33" s="53">
        <f t="shared" si="7"/>
        <v>6.1219646044436251</v>
      </c>
      <c r="O33" s="47"/>
    </row>
    <row r="34" spans="1:18" s="42" customFormat="1">
      <c r="A34" s="121" t="s">
        <v>57</v>
      </c>
      <c r="B34" s="121"/>
      <c r="C34" s="121"/>
      <c r="D34" s="121"/>
      <c r="E34" s="121"/>
      <c r="F34" s="121"/>
      <c r="G34" s="49">
        <f>I34/12/E30</f>
        <v>17.46548215412194</v>
      </c>
      <c r="H34" s="51"/>
      <c r="I34" s="51">
        <f>I33+I27</f>
        <v>2755068.0307269492</v>
      </c>
      <c r="J34" s="51">
        <f>J27+J33</f>
        <v>17.46548215412194</v>
      </c>
      <c r="K34" s="51">
        <f t="shared" ref="K34:N34" si="8">K27+K33</f>
        <v>78780</v>
      </c>
      <c r="L34" s="51">
        <f t="shared" si="8"/>
        <v>427226.38886212814</v>
      </c>
      <c r="M34" s="51">
        <f t="shared" si="8"/>
        <v>452859.47519999999</v>
      </c>
      <c r="N34" s="51">
        <f t="shared" si="8"/>
        <v>25.319054466255679</v>
      </c>
      <c r="O34" s="41"/>
    </row>
    <row r="35" spans="1:18" s="42" customFormat="1">
      <c r="A35" s="122" t="s">
        <v>56</v>
      </c>
      <c r="B35" s="123"/>
      <c r="C35" s="123"/>
      <c r="D35" s="123"/>
      <c r="E35" s="123"/>
      <c r="F35" s="123"/>
      <c r="G35" s="124"/>
      <c r="H35" s="124"/>
      <c r="I35" s="124"/>
      <c r="J35" s="125"/>
      <c r="K35" s="54"/>
      <c r="L35" s="54"/>
      <c r="M35" s="54"/>
      <c r="N35" s="98"/>
      <c r="O35" s="55"/>
      <c r="P35" s="56"/>
      <c r="Q35" s="56"/>
      <c r="R35" s="56"/>
    </row>
    <row r="36" spans="1:18" s="42" customFormat="1" ht="63">
      <c r="A36" s="38">
        <v>1</v>
      </c>
      <c r="B36" s="68" t="s">
        <v>80</v>
      </c>
      <c r="C36" s="17" t="s">
        <v>14</v>
      </c>
      <c r="D36" s="18">
        <v>2.74</v>
      </c>
      <c r="E36" s="17">
        <v>13145.3</v>
      </c>
      <c r="F36" s="13" t="s">
        <v>25</v>
      </c>
      <c r="G36" s="9">
        <v>12</v>
      </c>
      <c r="H36" s="12">
        <f>D36*E36</f>
        <v>36018.122000000003</v>
      </c>
      <c r="I36" s="35">
        <f>H36*G36</f>
        <v>432217.46400000004</v>
      </c>
      <c r="J36" s="36">
        <f>I36/G36/E36</f>
        <v>2.74</v>
      </c>
      <c r="K36" s="54"/>
      <c r="L36" s="54"/>
      <c r="M36" s="54"/>
      <c r="N36" s="98">
        <v>3.86</v>
      </c>
      <c r="O36" s="55"/>
      <c r="P36" s="56"/>
      <c r="Q36" s="56"/>
      <c r="R36" s="56"/>
    </row>
    <row r="37" spans="1:18" s="42" customFormat="1">
      <c r="A37" s="126" t="s">
        <v>79</v>
      </c>
      <c r="B37" s="127"/>
      <c r="C37" s="127"/>
      <c r="D37" s="127"/>
      <c r="E37" s="127"/>
      <c r="F37" s="128"/>
      <c r="G37" s="67">
        <f>G34+D36</f>
        <v>20.205482154121938</v>
      </c>
      <c r="H37" s="66"/>
      <c r="I37" s="65">
        <f>I36+I34</f>
        <v>3187285.4947269494</v>
      </c>
      <c r="J37" s="93">
        <f>J36+J34</f>
        <v>20.205482154121938</v>
      </c>
      <c r="K37" s="93">
        <f t="shared" ref="K37:N37" si="9">K36+K34</f>
        <v>78780</v>
      </c>
      <c r="L37" s="93">
        <f t="shared" si="9"/>
        <v>427226.38886212814</v>
      </c>
      <c r="M37" s="93">
        <f t="shared" si="9"/>
        <v>452859.47519999999</v>
      </c>
      <c r="N37" s="93">
        <f t="shared" si="9"/>
        <v>29.179054466255678</v>
      </c>
      <c r="O37" s="55"/>
      <c r="P37" s="56"/>
      <c r="Q37" s="56"/>
      <c r="R37" s="56"/>
    </row>
    <row r="38" spans="1:18" ht="18.75" customHeight="1">
      <c r="A38" s="129"/>
      <c r="B38" s="130"/>
      <c r="C38" s="130"/>
      <c r="D38" s="130"/>
      <c r="E38" s="130"/>
      <c r="F38" s="130"/>
      <c r="G38" s="130"/>
      <c r="H38" s="130"/>
      <c r="I38" s="130"/>
      <c r="J38" s="130"/>
      <c r="K38" s="130"/>
      <c r="L38" s="130"/>
      <c r="M38" s="130"/>
      <c r="N38" s="130"/>
    </row>
    <row r="39" spans="1:18">
      <c r="A39" s="131"/>
      <c r="B39" s="131"/>
      <c r="C39" s="131"/>
      <c r="D39" s="131"/>
      <c r="E39" s="131"/>
      <c r="F39" s="131"/>
      <c r="G39" s="131"/>
      <c r="H39" s="131"/>
      <c r="I39" s="131"/>
      <c r="J39" s="131"/>
      <c r="K39" s="131"/>
      <c r="L39" s="131"/>
      <c r="M39" s="131"/>
      <c r="N39" s="131"/>
    </row>
    <row r="40" spans="1:18" ht="33" customHeight="1">
      <c r="A40" s="131"/>
      <c r="B40" s="131"/>
      <c r="C40" s="131"/>
      <c r="D40" s="131"/>
      <c r="E40" s="131"/>
      <c r="F40" s="131"/>
      <c r="G40" s="131"/>
      <c r="H40" s="131"/>
      <c r="I40" s="131"/>
      <c r="J40" s="131"/>
      <c r="K40" s="131"/>
      <c r="L40" s="131"/>
      <c r="M40" s="131"/>
      <c r="N40" s="131"/>
    </row>
    <row r="41" spans="1:18">
      <c r="A41" s="19"/>
      <c r="B41" s="19"/>
      <c r="C41" s="19"/>
      <c r="D41" s="19"/>
      <c r="E41" s="19"/>
      <c r="F41" s="20"/>
      <c r="G41" s="20"/>
      <c r="H41" s="32"/>
      <c r="I41" s="32"/>
      <c r="K41" s="28"/>
      <c r="L41" s="28"/>
    </row>
    <row r="42" spans="1:18" s="23" customFormat="1">
      <c r="A42" s="21"/>
      <c r="B42" s="22"/>
      <c r="C42" s="21"/>
      <c r="D42" s="22"/>
      <c r="F42" s="24"/>
      <c r="G42" s="24"/>
      <c r="H42" s="33"/>
      <c r="I42" s="33"/>
      <c r="J42" s="34"/>
      <c r="K42" s="21"/>
      <c r="L42" s="21"/>
      <c r="M42" s="34"/>
      <c r="N42" s="34"/>
      <c r="O42" s="34"/>
    </row>
    <row r="43" spans="1:18" s="23" customFormat="1" ht="37.9" customHeight="1">
      <c r="A43" s="21"/>
      <c r="B43" s="21"/>
      <c r="C43" s="21"/>
      <c r="D43" s="22"/>
      <c r="E43" s="21"/>
      <c r="F43" s="24"/>
      <c r="G43" s="24"/>
      <c r="H43" s="33"/>
      <c r="I43" s="33"/>
      <c r="J43" s="34"/>
      <c r="K43" s="21"/>
      <c r="L43" s="21"/>
      <c r="M43" s="34"/>
      <c r="N43" s="34"/>
      <c r="O43" s="34"/>
    </row>
  </sheetData>
  <mergeCells count="10">
    <mergeCell ref="A33:F33"/>
    <mergeCell ref="A34:F34"/>
    <mergeCell ref="A35:J35"/>
    <mergeCell ref="A37:F37"/>
    <mergeCell ref="A38:N40"/>
    <mergeCell ref="A3:N4"/>
    <mergeCell ref="K6:M6"/>
    <mergeCell ref="A28:I28"/>
    <mergeCell ref="A6:I6"/>
    <mergeCell ref="A27:F27"/>
  </mergeCells>
  <printOptions horizontalCentered="1" verticalCentered="1"/>
  <pageMargins left="0.11811023622047245" right="0.11811023622047245" top="0.11811023622047245" bottom="0.11811023622047245" header="0.31496062992125984" footer="0.31496062992125984"/>
  <pageSetup paperSize="9" scale="60" orientation="portrait" r:id="rId1"/>
  <colBreaks count="6" manualBreakCount="6">
    <brk id="17" max="44" man="1"/>
    <brk id="15670" max="44" man="1"/>
    <brk id="15672" max="44" man="1"/>
    <brk id="15678" max="44" man="1"/>
    <brk id="15682" max="44" man="1"/>
    <brk id="15688" max="44" man="1"/>
  </colBreaks>
  <ignoredErrors>
    <ignoredError sqref="J23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33"/>
  <sheetViews>
    <sheetView zoomScale="70" zoomScaleNormal="70" workbookViewId="0">
      <selection activeCell="A20" sqref="A20"/>
    </sheetView>
  </sheetViews>
  <sheetFormatPr defaultRowHeight="15.75"/>
  <cols>
    <col min="1" max="1" width="9.140625" style="69"/>
    <col min="2" max="2" width="81.42578125" style="70" customWidth="1"/>
    <col min="3" max="3" width="36.42578125" style="85" customWidth="1"/>
    <col min="4" max="4" width="40.7109375" style="70" customWidth="1"/>
    <col min="5" max="16384" width="9.140625" style="70"/>
  </cols>
  <sheetData>
    <row r="1" spans="1:4" s="89" customFormat="1" ht="33" customHeight="1">
      <c r="A1" s="87"/>
      <c r="B1" s="88" t="s">
        <v>60</v>
      </c>
      <c r="C1" s="88"/>
      <c r="D1" s="88"/>
    </row>
    <row r="2" spans="1:4" s="89" customFormat="1" ht="33" customHeight="1">
      <c r="A2" s="87"/>
      <c r="B2" s="89" t="s">
        <v>61</v>
      </c>
      <c r="C2" s="90" t="s">
        <v>73</v>
      </c>
    </row>
    <row r="3" spans="1:4" s="69" customFormat="1" ht="63">
      <c r="A3" s="71" t="s">
        <v>2</v>
      </c>
      <c r="B3" s="71" t="s">
        <v>62</v>
      </c>
      <c r="C3" s="71" t="s">
        <v>63</v>
      </c>
      <c r="D3" s="71" t="s">
        <v>64</v>
      </c>
    </row>
    <row r="4" spans="1:4" ht="31.5">
      <c r="A4" s="71">
        <v>1</v>
      </c>
      <c r="B4" s="72" t="s">
        <v>13</v>
      </c>
      <c r="C4" s="73">
        <v>0.32</v>
      </c>
      <c r="D4" s="74">
        <v>0.32</v>
      </c>
    </row>
    <row r="5" spans="1:4">
      <c r="A5" s="71">
        <f t="shared" ref="A5:A28" si="0">A4+1</f>
        <v>2</v>
      </c>
      <c r="B5" s="72" t="s">
        <v>48</v>
      </c>
      <c r="C5" s="73">
        <v>0.08</v>
      </c>
      <c r="D5" s="74">
        <v>0.08</v>
      </c>
    </row>
    <row r="6" spans="1:4">
      <c r="A6" s="71">
        <f t="shared" si="0"/>
        <v>3</v>
      </c>
      <c r="B6" s="72" t="s">
        <v>17</v>
      </c>
      <c r="C6" s="73">
        <v>0.15</v>
      </c>
      <c r="D6" s="74">
        <v>0.15</v>
      </c>
    </row>
    <row r="7" spans="1:4">
      <c r="A7" s="71">
        <f t="shared" si="0"/>
        <v>4</v>
      </c>
      <c r="B7" s="72" t="s">
        <v>18</v>
      </c>
      <c r="C7" s="73">
        <v>6.9999999999999993E-2</v>
      </c>
      <c r="D7" s="74">
        <v>6.9999999999999993E-2</v>
      </c>
    </row>
    <row r="8" spans="1:4">
      <c r="A8" s="71">
        <f t="shared" si="0"/>
        <v>5</v>
      </c>
      <c r="B8" s="72" t="s">
        <v>20</v>
      </c>
      <c r="C8" s="75">
        <v>0.04</v>
      </c>
      <c r="D8" s="76">
        <v>0.04</v>
      </c>
    </row>
    <row r="9" spans="1:4" ht="31.5">
      <c r="A9" s="71">
        <f t="shared" si="0"/>
        <v>6</v>
      </c>
      <c r="B9" s="72" t="s">
        <v>23</v>
      </c>
      <c r="C9" s="75">
        <v>0.19</v>
      </c>
      <c r="D9" s="76">
        <v>0.19</v>
      </c>
    </row>
    <row r="10" spans="1:4">
      <c r="A10" s="71">
        <f t="shared" si="0"/>
        <v>7</v>
      </c>
      <c r="B10" s="72" t="s">
        <v>65</v>
      </c>
      <c r="C10" s="75">
        <v>0.17</v>
      </c>
      <c r="D10" s="76">
        <v>0.17</v>
      </c>
    </row>
    <row r="11" spans="1:4">
      <c r="A11" s="71">
        <f t="shared" si="0"/>
        <v>8</v>
      </c>
      <c r="B11" s="26" t="s">
        <v>43</v>
      </c>
      <c r="C11" s="75">
        <v>0.18000000000000002</v>
      </c>
      <c r="D11" s="76">
        <v>0.18000000000000002</v>
      </c>
    </row>
    <row r="12" spans="1:4">
      <c r="A12" s="71">
        <f t="shared" si="0"/>
        <v>9</v>
      </c>
      <c r="B12" s="72" t="s">
        <v>66</v>
      </c>
      <c r="C12" s="75">
        <v>0.49999999999999994</v>
      </c>
      <c r="D12" s="76">
        <v>0.49999999999999994</v>
      </c>
    </row>
    <row r="13" spans="1:4">
      <c r="A13" s="71">
        <f t="shared" si="0"/>
        <v>10</v>
      </c>
      <c r="B13" s="72" t="s">
        <v>67</v>
      </c>
      <c r="C13" s="75">
        <v>0.4200000000000001</v>
      </c>
      <c r="D13" s="76">
        <v>0.4200000000000001</v>
      </c>
    </row>
    <row r="14" spans="1:4">
      <c r="A14" s="71">
        <f t="shared" si="0"/>
        <v>11</v>
      </c>
      <c r="B14" s="72" t="s">
        <v>28</v>
      </c>
      <c r="C14" s="75">
        <v>0.05</v>
      </c>
      <c r="D14" s="76">
        <v>0.05</v>
      </c>
    </row>
    <row r="15" spans="1:4">
      <c r="A15" s="71">
        <f t="shared" si="0"/>
        <v>12</v>
      </c>
      <c r="B15" s="72" t="s">
        <v>30</v>
      </c>
      <c r="C15" s="75">
        <v>0.08</v>
      </c>
      <c r="D15" s="76">
        <v>0.08</v>
      </c>
    </row>
    <row r="16" spans="1:4">
      <c r="A16" s="71">
        <f t="shared" si="0"/>
        <v>13</v>
      </c>
      <c r="B16" s="40" t="s">
        <v>59</v>
      </c>
      <c r="C16" s="75">
        <v>0.47000000000000003</v>
      </c>
      <c r="D16" s="76">
        <v>0.47000000000000003</v>
      </c>
    </row>
    <row r="17" spans="1:5">
      <c r="A17" s="71">
        <f t="shared" si="0"/>
        <v>14</v>
      </c>
      <c r="B17" s="72" t="s">
        <v>51</v>
      </c>
      <c r="C17" s="75">
        <v>1.28</v>
      </c>
      <c r="D17" s="76">
        <v>1.28</v>
      </c>
    </row>
    <row r="18" spans="1:5">
      <c r="A18" s="71">
        <f t="shared" si="0"/>
        <v>15</v>
      </c>
      <c r="B18" s="72" t="s">
        <v>52</v>
      </c>
      <c r="C18" s="75">
        <v>1.5899999999999999</v>
      </c>
      <c r="D18" s="76">
        <v>1.5899999999999999</v>
      </c>
    </row>
    <row r="19" spans="1:5">
      <c r="A19" s="71">
        <f t="shared" si="0"/>
        <v>16</v>
      </c>
      <c r="B19" s="77" t="s">
        <v>68</v>
      </c>
      <c r="C19" s="74">
        <v>0.59</v>
      </c>
      <c r="D19" s="74"/>
      <c r="E19" s="78"/>
    </row>
    <row r="20" spans="1:5" ht="16.5" customHeight="1">
      <c r="A20" s="71">
        <f t="shared" si="0"/>
        <v>17</v>
      </c>
      <c r="B20" s="91" t="s">
        <v>76</v>
      </c>
      <c r="C20" s="74">
        <v>0.45</v>
      </c>
      <c r="D20" s="74">
        <v>0.45</v>
      </c>
    </row>
    <row r="21" spans="1:5" ht="31.5">
      <c r="A21" s="71">
        <f t="shared" si="0"/>
        <v>18</v>
      </c>
      <c r="B21" s="91" t="s">
        <v>77</v>
      </c>
      <c r="C21" s="74">
        <v>0.33</v>
      </c>
      <c r="D21" s="74">
        <v>0.33</v>
      </c>
    </row>
    <row r="22" spans="1:5">
      <c r="A22" s="71">
        <f t="shared" si="0"/>
        <v>19</v>
      </c>
      <c r="B22" s="77" t="s">
        <v>69</v>
      </c>
      <c r="C22" s="74">
        <v>0.25</v>
      </c>
      <c r="D22" s="74">
        <v>0.25</v>
      </c>
    </row>
    <row r="23" spans="1:5">
      <c r="A23" s="71">
        <f t="shared" si="0"/>
        <v>20</v>
      </c>
      <c r="B23" s="77" t="s">
        <v>70</v>
      </c>
      <c r="C23" s="74">
        <v>0.02</v>
      </c>
      <c r="D23" s="74">
        <v>0.02</v>
      </c>
    </row>
    <row r="24" spans="1:5">
      <c r="A24" s="71">
        <f t="shared" si="0"/>
        <v>21</v>
      </c>
      <c r="B24" s="77" t="s">
        <v>35</v>
      </c>
      <c r="C24" s="74">
        <v>2.6852182909480957</v>
      </c>
      <c r="D24" s="74">
        <v>2.6852182909480957</v>
      </c>
    </row>
    <row r="25" spans="1:5">
      <c r="A25" s="71">
        <f t="shared" si="0"/>
        <v>22</v>
      </c>
      <c r="B25" s="77" t="s">
        <v>37</v>
      </c>
      <c r="C25" s="76">
        <v>1.6800000000000004</v>
      </c>
      <c r="D25" s="76">
        <v>1.6800000000000004</v>
      </c>
    </row>
    <row r="26" spans="1:5">
      <c r="A26" s="71">
        <f t="shared" si="0"/>
        <v>23</v>
      </c>
      <c r="B26" s="77" t="s">
        <v>38</v>
      </c>
      <c r="C26" s="76">
        <v>0.23</v>
      </c>
      <c r="D26" s="76">
        <v>0.23</v>
      </c>
    </row>
    <row r="27" spans="1:5">
      <c r="A27" s="71">
        <f t="shared" si="0"/>
        <v>24</v>
      </c>
      <c r="B27" s="77" t="s">
        <v>40</v>
      </c>
      <c r="C27" s="76">
        <v>1.33</v>
      </c>
      <c r="D27" s="76">
        <v>1.33</v>
      </c>
    </row>
    <row r="28" spans="1:5">
      <c r="A28" s="71">
        <f t="shared" si="0"/>
        <v>25</v>
      </c>
      <c r="B28" s="77" t="s">
        <v>41</v>
      </c>
      <c r="C28" s="74">
        <v>3.49</v>
      </c>
      <c r="D28" s="74">
        <v>3.49</v>
      </c>
    </row>
    <row r="29" spans="1:5">
      <c r="A29" s="79"/>
      <c r="B29" s="80" t="s">
        <v>71</v>
      </c>
      <c r="C29" s="86">
        <f>SUM(C4:C28)</f>
        <v>16.645218290948094</v>
      </c>
      <c r="D29" s="86">
        <f>SUM(D4:D28)</f>
        <v>16.055218290948098</v>
      </c>
    </row>
    <row r="30" spans="1:5" ht="31.5">
      <c r="A30" s="79"/>
      <c r="B30" s="77" t="s">
        <v>72</v>
      </c>
      <c r="C30" s="132">
        <f>C29-D29</f>
        <v>0.58999999999999631</v>
      </c>
      <c r="D30" s="133"/>
    </row>
    <row r="31" spans="1:5">
      <c r="A31" s="81"/>
      <c r="B31" s="82"/>
      <c r="C31" s="83"/>
      <c r="D31" s="84"/>
    </row>
    <row r="32" spans="1:5">
      <c r="A32" s="81"/>
      <c r="B32" s="82"/>
      <c r="C32" s="83"/>
      <c r="D32" s="82"/>
    </row>
    <row r="33" spans="2:3">
      <c r="B33" s="70" t="s">
        <v>74</v>
      </c>
      <c r="C33" s="85" t="s">
        <v>75</v>
      </c>
    </row>
  </sheetData>
  <mergeCells count="1">
    <mergeCell ref="C30:D30"/>
  </mergeCells>
  <pageMargins left="0.70866141732283472" right="0.70866141732283472" top="0.74803149606299213" bottom="0.74803149606299213" header="0.31496062992125984" footer="0.31496062992125984"/>
  <pageSetup paperSize="9" scale="73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Лист1</vt:lpstr>
      <vt:lpstr>Лист2</vt:lpstr>
      <vt:lpstr>Лист1!Область_печати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2025-10-16T12:05:46Z</dcterms:modified>
</cp:coreProperties>
</file>